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6" windowWidth="14352" windowHeight="6216"/>
  </bookViews>
  <sheets>
    <sheet name="Sheet1" sheetId="1" r:id="rId1"/>
    <sheet name="Sheet2" sheetId="2" r:id="rId2"/>
    <sheet name="Sheet3" sheetId="3" r:id="rId3"/>
  </sheets>
  <definedNames>
    <definedName name="accrued">Sheet1!$D$25</definedName>
    <definedName name="accruedmethod">Sheet1!$D$18</definedName>
    <definedName name="cleanprice">Sheet1!$D$24</definedName>
    <definedName name="coupon">Sheet1!$D$10</definedName>
    <definedName name="couponfrequency">Sheet1!$D$11</definedName>
    <definedName name="daysaccrued">Sheet1!$J$12</definedName>
    <definedName name="daysprice">Sheet1!$J$10</definedName>
    <definedName name="dirtyprice">Sheet1!$D$26</definedName>
    <definedName name="exdiv">Sheet1!$D$19</definedName>
    <definedName name="exdivdays">Sheet1!$J$13</definedName>
    <definedName name="lastcoupon">Sheet1!$J$8</definedName>
    <definedName name="maturity">Sheet1!$D$12</definedName>
    <definedName name="methodtable">Sheet1!$H$17:$K$28</definedName>
    <definedName name="monthend">Sheet1!$D$16</definedName>
    <definedName name="nextcoupon">Sheet1!$J$9</definedName>
    <definedName name="periods">Sheet1!$J$15</definedName>
    <definedName name="pricemethod">Sheet1!$D$17</definedName>
    <definedName name="_xlnm.Print_Area" localSheetId="0">Sheet1!$B$1:$F$33</definedName>
    <definedName name="quotedyield">Sheet1!$D$14</definedName>
    <definedName name="settlement">Sheet1!$D$13</definedName>
    <definedName name="sifma">Sheet1!$H$21</definedName>
    <definedName name="yearaccrued">Sheet1!$J$14</definedName>
    <definedName name="yearprice">Sheet1!$J$11</definedName>
    <definedName name="yield">Sheet1!$K$7</definedName>
    <definedName name="yieldfrequency">Sheet1!$D$15</definedName>
  </definedNames>
  <calcPr calcId="145621" iterate="1"/>
</workbook>
</file>

<file path=xl/calcChain.xml><?xml version="1.0" encoding="utf-8"?>
<calcChain xmlns="http://schemas.openxmlformats.org/spreadsheetml/2006/main">
  <c r="C21" i="1" l="1"/>
  <c r="K7" i="1" l="1"/>
  <c r="J9" i="1"/>
  <c r="J8" i="1"/>
  <c r="F16" i="1"/>
  <c r="C22" i="1"/>
  <c r="C16" i="1"/>
  <c r="J17" i="1" l="1"/>
  <c r="J28" i="1"/>
  <c r="I17" i="1"/>
  <c r="I28" i="1"/>
  <c r="J27" i="1"/>
  <c r="I27" i="1"/>
  <c r="I20" i="1"/>
  <c r="I24" i="1"/>
  <c r="J20" i="1"/>
  <c r="J24" i="1"/>
  <c r="I21" i="1"/>
  <c r="I25" i="1"/>
  <c r="J15" i="1"/>
  <c r="J21" i="1"/>
  <c r="J25" i="1"/>
  <c r="K22" i="1"/>
  <c r="I18" i="1"/>
  <c r="I22" i="1"/>
  <c r="I26" i="1"/>
  <c r="K26" i="1"/>
  <c r="J18" i="1"/>
  <c r="J22" i="1"/>
  <c r="J26" i="1"/>
  <c r="I19" i="1"/>
  <c r="I23" i="1"/>
  <c r="K24" i="1"/>
  <c r="J19" i="1"/>
  <c r="J23" i="1"/>
  <c r="J12" i="1" l="1"/>
  <c r="J10" i="1"/>
  <c r="J13" i="1"/>
  <c r="J14" i="1"/>
  <c r="J11" i="1"/>
  <c r="D26" i="1" l="1"/>
  <c r="E18" i="1"/>
  <c r="E17" i="1"/>
  <c r="D31" i="1" l="1"/>
  <c r="D28" i="1"/>
  <c r="D25" i="1"/>
  <c r="D29" i="1" l="1"/>
  <c r="D30" i="1" s="1"/>
  <c r="D27" i="1"/>
  <c r="D24" i="1"/>
</calcChain>
</file>

<file path=xl/sharedStrings.xml><?xml version="1.0" encoding="utf-8"?>
<sst xmlns="http://schemas.openxmlformats.org/spreadsheetml/2006/main" count="63" uniqueCount="58">
  <si>
    <t>Input data:</t>
  </si>
  <si>
    <t>Settlement date of purchase or sale (DD/MM/YY)</t>
  </si>
  <si>
    <t>Results:</t>
  </si>
  <si>
    <t>Yield</t>
  </si>
  <si>
    <t>Coupon rate</t>
  </si>
  <si>
    <t>Bonds</t>
  </si>
  <si>
    <t>Day/year method for price calculation</t>
  </si>
  <si>
    <t>Day/year method for accrued coupon</t>
  </si>
  <si>
    <t>ACT/360</t>
  </si>
  <si>
    <t>www.markets-international.com                                             Copyright:  Markets International Ltd</t>
  </si>
  <si>
    <t>e.g. enter 6.375% as "6.375"</t>
  </si>
  <si>
    <t>last coupon date</t>
  </si>
  <si>
    <t>days since last coupon</t>
  </si>
  <si>
    <t>days to next coupon</t>
  </si>
  <si>
    <t>next coupon date</t>
  </si>
  <si>
    <t>days in year for accrued</t>
  </si>
  <si>
    <t>days since last coupon for accrued</t>
  </si>
  <si>
    <t>days to next coupon for price</t>
  </si>
  <si>
    <t>days in year for price</t>
  </si>
  <si>
    <t>remaining whole coupon periods</t>
  </si>
  <si>
    <r>
      <t xml:space="preserve">Do </t>
    </r>
    <r>
      <rPr>
        <b/>
        <sz val="11"/>
        <color theme="1"/>
        <rFont val="Calibri"/>
        <family val="2"/>
        <scheme val="minor"/>
      </rPr>
      <t>not</t>
    </r>
    <r>
      <rPr>
        <sz val="11"/>
        <color theme="1"/>
        <rFont val="Calibri"/>
        <family val="2"/>
        <scheme val="minor"/>
      </rPr>
      <t xml:space="preserve"> delete this part of the spreadsheet!</t>
    </r>
  </si>
  <si>
    <t>e.g. enter '23-2-12'</t>
  </si>
  <si>
    <t>Total value of the bond holding</t>
  </si>
  <si>
    <t>ignore if not needed</t>
  </si>
  <si>
    <t>ACT/365L</t>
  </si>
  <si>
    <t>year</t>
  </si>
  <si>
    <t>ACT/ACT AFB</t>
  </si>
  <si>
    <r>
      <t xml:space="preserve">30/360 German/Swiss                                       </t>
    </r>
    <r>
      <rPr>
        <i/>
        <sz val="11"/>
        <color theme="1"/>
        <rFont val="Calibri"/>
        <family val="2"/>
        <scheme val="minor"/>
      </rPr>
      <t>(Swiss and some German bonds)</t>
    </r>
  </si>
  <si>
    <r>
      <t xml:space="preserve">ACT/365                                                                  </t>
    </r>
    <r>
      <rPr>
        <i/>
        <sz val="11"/>
        <color theme="1"/>
        <rFont val="Calibri"/>
        <family val="2"/>
        <scheme val="minor"/>
      </rPr>
      <t>(Japanese government bonds)</t>
    </r>
  </si>
  <si>
    <r>
      <t xml:space="preserve">ACT/365NL                                                             </t>
    </r>
    <r>
      <rPr>
        <i/>
        <sz val="11"/>
        <color theme="1"/>
        <rFont val="Calibri"/>
        <family val="2"/>
        <scheme val="minor"/>
      </rPr>
      <t>(some Japanese bonds)</t>
    </r>
  </si>
  <si>
    <r>
      <t>30(E)/360 ICMA</t>
    </r>
    <r>
      <rPr>
        <i/>
        <sz val="11"/>
        <color theme="1"/>
        <rFont val="Calibri"/>
        <family val="2"/>
        <scheme val="minor"/>
      </rPr>
      <t xml:space="preserve"> = 30/360 Special German</t>
    </r>
    <r>
      <rPr>
        <sz val="11"/>
        <color theme="1"/>
        <rFont val="Calibri"/>
        <family val="2"/>
        <scheme val="minor"/>
      </rPr>
      <t xml:space="preserve"> </t>
    </r>
    <r>
      <rPr>
        <i/>
        <sz val="11"/>
        <color theme="1"/>
        <rFont val="Calibri"/>
        <family val="2"/>
        <scheme val="minor"/>
      </rPr>
      <t>(some European bonds; older Eurobonds)</t>
    </r>
  </si>
  <si>
    <r>
      <t xml:space="preserve">30(A)/360 </t>
    </r>
    <r>
      <rPr>
        <i/>
        <sz val="11"/>
        <color theme="1"/>
        <rFont val="Calibri"/>
        <family val="2"/>
        <scheme val="minor"/>
      </rPr>
      <t>= 30/360 ISDA</t>
    </r>
    <r>
      <rPr>
        <sz val="11"/>
        <color theme="1"/>
        <rFont val="Calibri"/>
        <family val="2"/>
        <scheme val="minor"/>
      </rPr>
      <t xml:space="preserve">                                   </t>
    </r>
    <r>
      <rPr>
        <i/>
        <sz val="11"/>
        <color theme="1"/>
        <rFont val="Calibri"/>
        <family val="2"/>
        <scheme val="minor"/>
      </rPr>
      <t>(US municipal bonds)</t>
    </r>
  </si>
  <si>
    <r>
      <t xml:space="preserve">30/360 SIFMA end-of-month </t>
    </r>
    <r>
      <rPr>
        <i/>
        <sz val="11"/>
        <color theme="1"/>
        <rFont val="Calibri"/>
        <family val="2"/>
        <scheme val="minor"/>
      </rPr>
      <t>= 30U/360</t>
    </r>
    <r>
      <rPr>
        <sz val="11"/>
        <color theme="1"/>
        <rFont val="Calibri"/>
        <family val="2"/>
        <scheme val="minor"/>
      </rPr>
      <t xml:space="preserve">    (</t>
    </r>
    <r>
      <rPr>
        <i/>
        <sz val="11"/>
        <color theme="1"/>
        <rFont val="Calibri"/>
        <family val="2"/>
        <scheme val="minor"/>
      </rPr>
      <t>some US Fed Agency &amp; corporate bonds)</t>
    </r>
  </si>
  <si>
    <r>
      <t xml:space="preserve">ACT/ACT                                                                 </t>
    </r>
    <r>
      <rPr>
        <i/>
        <sz val="11"/>
        <color theme="1"/>
        <rFont val="Calibri"/>
        <family val="2"/>
        <scheme val="minor"/>
      </rPr>
      <t>(US/most Europe govt bonds; non-$ Eurobonds)</t>
    </r>
  </si>
  <si>
    <r>
      <t xml:space="preserve">30(E)/360 ISDA                                                      </t>
    </r>
    <r>
      <rPr>
        <i/>
        <sz val="11"/>
        <color theme="1"/>
        <rFont val="Calibri"/>
        <family val="2"/>
        <scheme val="minor"/>
      </rPr>
      <t>($ Eurobonds)</t>
    </r>
  </si>
  <si>
    <t>click the arrow and choose</t>
  </si>
  <si>
    <t>Frequency of coupon payments per year</t>
  </si>
  <si>
    <t>yield</t>
  </si>
  <si>
    <t>Is the bond ex-dividend?</t>
  </si>
  <si>
    <t>NO</t>
  </si>
  <si>
    <t>days to next coupon for exdiv accrued</t>
  </si>
  <si>
    <t>Clean price per 100 face value</t>
  </si>
  <si>
    <t>Face value (= nominal value) of the bond holding</t>
  </si>
  <si>
    <t>Accrued coupon per 100 face value</t>
  </si>
  <si>
    <t>Dirty price per 100 face value</t>
  </si>
  <si>
    <t>MONTH-END</t>
  </si>
  <si>
    <t>Compounding frequency per year of the yield</t>
  </si>
  <si>
    <t>Modified duration</t>
  </si>
  <si>
    <t>Convexity</t>
  </si>
  <si>
    <t>Macaulay duration (years)</t>
  </si>
  <si>
    <t>DV01 (= PVB)</t>
  </si>
  <si>
    <t>ACT/ACT                                                                 (US/most Europe govt bonds; non-$ Eurobonds)</t>
  </si>
  <si>
    <t xml:space="preserve"> </t>
  </si>
  <si>
    <t>What are the clean price, accrued coupon, dirty price, duration, modified duration and convexity,</t>
  </si>
  <si>
    <t>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t>
  </si>
  <si>
    <t xml:space="preserve">                 given the yield for a perpetual bond?</t>
  </si>
  <si>
    <t>Next coupon date (DD/MM/YY)</t>
  </si>
  <si>
    <r>
      <t xml:space="preserve">ACT/364                                                                  </t>
    </r>
    <r>
      <rPr>
        <i/>
        <sz val="11"/>
        <color theme="1"/>
        <rFont val="Calibri"/>
        <family val="2"/>
        <scheme val="minor"/>
      </rPr>
      <t>(some bonds)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</si>
</sst>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F800]dddd\,\ mmmm\ dd\,\ yyyy"/>
    <numFmt numFmtId="165" formatCode="0.000%"/>
    <numFmt numFmtId="166" formatCode="0.000000"/>
    <numFmt numFmtId="167" formatCode="#,##0.000"/>
    <numFmt numFmtId="168" formatCode="0.000"/>
  </numFmts>
  <fonts count="16" x14ac:knownFonts="1">
    <font>
      <sz val="11"/>
      <color theme="1"/>
      <name val="Calibri"/>
      <family val="2"/>
      <scheme val="minor"/>
    </font>
    <font>
      <b/>
      <u/>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i/>
      <sz val="11"/>
      <name val="Calibri"/>
      <family val="2"/>
      <scheme val="minor"/>
    </font>
    <font>
      <sz val="11"/>
      <color rgb="FF0070C0"/>
      <name val="Calibri"/>
      <family val="2"/>
      <scheme val="minor"/>
    </font>
    <font>
      <b/>
      <sz val="14"/>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b/>
      <i/>
      <sz val="11"/>
      <color rgb="FFFF0000"/>
      <name val="Calibri"/>
      <family val="2"/>
      <scheme val="minor"/>
    </font>
  </fonts>
  <fills count="6">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2" fillId="2" borderId="1" applyNumberFormat="0" applyAlignment="0" applyProtection="0"/>
    <xf numFmtId="0" fontId="7" fillId="3" borderId="0"/>
    <xf numFmtId="0" fontId="5" fillId="3" borderId="0"/>
    <xf numFmtId="0" fontId="9" fillId="3" borderId="0"/>
    <xf numFmtId="0" fontId="11" fillId="3" borderId="10" applyBorder="0"/>
    <xf numFmtId="0" fontId="10" fillId="4" borderId="0">
      <protection locked="0"/>
    </xf>
    <xf numFmtId="0" fontId="3" fillId="3" borderId="0"/>
    <xf numFmtId="0" fontId="8" fillId="3" borderId="0"/>
    <xf numFmtId="0" fontId="4" fillId="4" borderId="0"/>
    <xf numFmtId="0" fontId="6" fillId="4" borderId="0"/>
  </cellStyleXfs>
  <cellXfs count="66">
    <xf numFmtId="0" fontId="0" fillId="0" borderId="0" xfId="0"/>
    <xf numFmtId="0" fontId="12" fillId="0" borderId="0" xfId="0" applyFont="1" applyProtection="1"/>
    <xf numFmtId="0" fontId="0" fillId="0" borderId="0" xfId="0" applyProtection="1"/>
    <xf numFmtId="0" fontId="0" fillId="0" borderId="0" xfId="0" applyFill="1" applyBorder="1" applyProtection="1"/>
    <xf numFmtId="0" fontId="0" fillId="0" borderId="0" xfId="0" applyFill="1" applyBorder="1" applyAlignment="1" applyProtection="1">
      <alignment wrapText="1"/>
    </xf>
    <xf numFmtId="0" fontId="0" fillId="0" borderId="0" xfId="0" applyFont="1" applyProtection="1"/>
    <xf numFmtId="0" fontId="1" fillId="0" borderId="0" xfId="0" applyFont="1" applyProtection="1"/>
    <xf numFmtId="0" fontId="5" fillId="3" borderId="2" xfId="3" applyBorder="1" applyProtection="1"/>
    <xf numFmtId="0" fontId="3" fillId="3" borderId="3" xfId="7" applyBorder="1" applyProtection="1"/>
    <xf numFmtId="0" fontId="5" fillId="3" borderId="3" xfId="3" applyBorder="1" applyProtection="1"/>
    <xf numFmtId="0" fontId="5" fillId="3" borderId="4" xfId="3" applyBorder="1" applyProtection="1"/>
    <xf numFmtId="0" fontId="0" fillId="5" borderId="0" xfId="0" applyFill="1" applyProtection="1"/>
    <xf numFmtId="0" fontId="5" fillId="3" borderId="5" xfId="3" applyBorder="1" applyProtection="1"/>
    <xf numFmtId="0" fontId="7" fillId="3" borderId="0" xfId="2" applyBorder="1" applyProtection="1"/>
    <xf numFmtId="0" fontId="5" fillId="3" borderId="0" xfId="3" applyBorder="1" applyProtection="1"/>
    <xf numFmtId="0" fontId="5" fillId="3" borderId="6" xfId="3" applyBorder="1" applyProtection="1"/>
    <xf numFmtId="0" fontId="0" fillId="5" borderId="0" xfId="3" applyFont="1" applyFill="1" applyBorder="1" applyProtection="1"/>
    <xf numFmtId="164" fontId="5" fillId="5" borderId="0" xfId="3" applyNumberFormat="1" applyFill="1" applyBorder="1" applyProtection="1"/>
    <xf numFmtId="0" fontId="11" fillId="3" borderId="0" xfId="5" applyBorder="1" applyAlignment="1" applyProtection="1">
      <alignment horizontal="right"/>
    </xf>
    <xf numFmtId="0" fontId="6" fillId="4" borderId="0" xfId="10" applyBorder="1" applyProtection="1"/>
    <xf numFmtId="0" fontId="9" fillId="3" borderId="6" xfId="4" applyBorder="1" applyProtection="1"/>
    <xf numFmtId="0" fontId="0" fillId="5" borderId="0" xfId="3" applyFont="1" applyFill="1" applyBorder="1" applyAlignment="1" applyProtection="1">
      <alignment horizontal="right"/>
    </xf>
    <xf numFmtId="0" fontId="6" fillId="4" borderId="2" xfId="10" applyBorder="1" applyProtection="1"/>
    <xf numFmtId="0" fontId="6" fillId="4" borderId="5" xfId="10" applyBorder="1" applyProtection="1"/>
    <xf numFmtId="166" fontId="4" fillId="4" borderId="6" xfId="9" applyNumberFormat="1" applyBorder="1" applyProtection="1"/>
    <xf numFmtId="0" fontId="6" fillId="4" borderId="7" xfId="10" applyBorder="1" applyProtection="1"/>
    <xf numFmtId="4" fontId="4" fillId="4" borderId="9" xfId="9" applyNumberFormat="1" applyBorder="1" applyProtection="1"/>
    <xf numFmtId="0" fontId="5" fillId="3" borderId="7" xfId="3" applyBorder="1" applyProtection="1"/>
    <xf numFmtId="0" fontId="8" fillId="3" borderId="8" xfId="8" applyBorder="1" applyProtection="1"/>
    <xf numFmtId="0" fontId="5" fillId="3" borderId="8" xfId="3" applyBorder="1" applyProtection="1"/>
    <xf numFmtId="0" fontId="8" fillId="3" borderId="9" xfId="8" applyBorder="1" applyProtection="1"/>
    <xf numFmtId="0" fontId="12" fillId="0" borderId="0" xfId="0" applyFont="1" applyFill="1" applyBorder="1" applyAlignment="1" applyProtection="1">
      <alignment horizontal="center" vertical="top"/>
    </xf>
    <xf numFmtId="0" fontId="13" fillId="0" borderId="0" xfId="0" applyFont="1" applyProtection="1"/>
    <xf numFmtId="4" fontId="10" fillId="4" borderId="0" xfId="6" applyNumberFormat="1" applyBorder="1" applyProtection="1">
      <protection locked="0"/>
    </xf>
    <xf numFmtId="165" fontId="10" fillId="4" borderId="0" xfId="6" applyNumberFormat="1" applyBorder="1" applyProtection="1">
      <protection locked="0"/>
    </xf>
    <xf numFmtId="0" fontId="10" fillId="4" borderId="0" xfId="6" applyBorder="1" applyProtection="1">
      <protection locked="0"/>
    </xf>
    <xf numFmtId="164" fontId="10" fillId="4" borderId="0" xfId="6" applyNumberFormat="1" applyBorder="1" applyProtection="1">
      <protection locked="0"/>
    </xf>
    <xf numFmtId="0" fontId="0" fillId="0" borderId="0" xfId="0" applyAlignment="1" applyProtection="1">
      <alignment horizontal="left"/>
    </xf>
    <xf numFmtId="0" fontId="14" fillId="3" borderId="6" xfId="3" applyFont="1" applyBorder="1" applyProtection="1"/>
    <xf numFmtId="0" fontId="0" fillId="5" borderId="0" xfId="0" applyFill="1" applyAlignment="1" applyProtection="1">
      <alignment horizontal="left"/>
    </xf>
    <xf numFmtId="1" fontId="0" fillId="5" borderId="0" xfId="0" applyNumberFormat="1" applyFill="1" applyProtection="1"/>
    <xf numFmtId="0" fontId="0" fillId="5" borderId="0" xfId="3" quotePrefix="1" applyFont="1" applyFill="1" applyBorder="1" applyAlignment="1" applyProtection="1">
      <alignment horizontal="right"/>
    </xf>
    <xf numFmtId="164" fontId="0" fillId="0" borderId="0" xfId="0" applyNumberFormat="1" applyProtection="1"/>
    <xf numFmtId="1" fontId="0" fillId="5" borderId="0" xfId="3" applyNumberFormat="1" applyFont="1" applyFill="1" applyBorder="1" applyProtection="1"/>
    <xf numFmtId="0" fontId="0" fillId="5" borderId="0" xfId="0" applyFont="1" applyFill="1" applyProtection="1"/>
    <xf numFmtId="0" fontId="0" fillId="3" borderId="0" xfId="3" applyFont="1" applyProtection="1"/>
    <xf numFmtId="49" fontId="10" fillId="4" borderId="0" xfId="6" applyNumberFormat="1" applyBorder="1" applyAlignment="1" applyProtection="1">
      <alignment horizontal="left" indent="25"/>
      <protection locked="0"/>
    </xf>
    <xf numFmtId="0" fontId="4" fillId="3" borderId="0" xfId="3" applyFont="1" applyBorder="1" applyProtection="1"/>
    <xf numFmtId="165" fontId="0" fillId="5" borderId="0" xfId="0" applyNumberFormat="1" applyFont="1" applyFill="1" applyProtection="1"/>
    <xf numFmtId="0" fontId="10" fillId="4" borderId="0" xfId="6" applyNumberFormat="1" applyBorder="1" applyAlignment="1" applyProtection="1">
      <alignment horizontal="right"/>
      <protection locked="0"/>
    </xf>
    <xf numFmtId="164" fontId="10" fillId="4" borderId="0" xfId="6" applyNumberFormat="1" applyBorder="1" applyAlignment="1" applyProtection="1">
      <alignment horizontal="right"/>
      <protection locked="0"/>
    </xf>
    <xf numFmtId="0" fontId="0" fillId="5" borderId="0" xfId="0" applyNumberFormat="1" applyFill="1" applyProtection="1"/>
    <xf numFmtId="0" fontId="15" fillId="3" borderId="0" xfId="3" applyFont="1" applyBorder="1" applyProtection="1"/>
    <xf numFmtId="4" fontId="4" fillId="4" borderId="6" xfId="9" applyNumberFormat="1" applyBorder="1" applyProtection="1"/>
    <xf numFmtId="167" fontId="4" fillId="4" borderId="6" xfId="9" applyNumberFormat="1" applyBorder="1" applyProtection="1"/>
    <xf numFmtId="0" fontId="6" fillId="0" borderId="0" xfId="10" applyFill="1" applyBorder="1" applyProtection="1"/>
    <xf numFmtId="168" fontId="4" fillId="4" borderId="4" xfId="9" applyNumberFormat="1" applyBorder="1" applyProtection="1"/>
    <xf numFmtId="0" fontId="12" fillId="5" borderId="2" xfId="0" applyFont="1" applyFill="1" applyBorder="1" applyAlignment="1" applyProtection="1">
      <alignment horizontal="center" vertical="top" wrapText="1"/>
    </xf>
    <xf numFmtId="0" fontId="12" fillId="5" borderId="3" xfId="0" applyFont="1" applyFill="1" applyBorder="1" applyAlignment="1" applyProtection="1">
      <alignment horizontal="center" vertical="top" wrapText="1"/>
    </xf>
    <xf numFmtId="0" fontId="12" fillId="5" borderId="4" xfId="0" applyFont="1" applyFill="1" applyBorder="1" applyAlignment="1" applyProtection="1">
      <alignment horizontal="center" vertical="top" wrapText="1"/>
    </xf>
    <xf numFmtId="0" fontId="12" fillId="5" borderId="5" xfId="0" applyFont="1" applyFill="1" applyBorder="1" applyAlignment="1" applyProtection="1">
      <alignment horizontal="center" vertical="top" wrapText="1"/>
    </xf>
    <xf numFmtId="0" fontId="12" fillId="5" borderId="0" xfId="0" applyFont="1" applyFill="1" applyBorder="1" applyAlignment="1" applyProtection="1">
      <alignment horizontal="center" vertical="top" wrapText="1"/>
    </xf>
    <xf numFmtId="0" fontId="12" fillId="5" borderId="6" xfId="0" applyFont="1" applyFill="1" applyBorder="1" applyAlignment="1" applyProtection="1">
      <alignment horizontal="center" vertical="top" wrapText="1"/>
    </xf>
    <xf numFmtId="0" fontId="12" fillId="5" borderId="7" xfId="0" applyFont="1" applyFill="1" applyBorder="1" applyAlignment="1" applyProtection="1">
      <alignment horizontal="center" vertical="top" wrapText="1"/>
    </xf>
    <xf numFmtId="0" fontId="12" fillId="5" borderId="8" xfId="0" applyFont="1" applyFill="1" applyBorder="1" applyAlignment="1" applyProtection="1">
      <alignment horizontal="center" vertical="top" wrapText="1"/>
    </xf>
    <xf numFmtId="0" fontId="12" fillId="5" borderId="9" xfId="0" applyFont="1" applyFill="1" applyBorder="1" applyAlignment="1" applyProtection="1">
      <alignment horizontal="center" vertical="top" wrapText="1"/>
    </xf>
  </cellXfs>
  <cellStyles count="11">
    <cellStyle name="Background" xfId="3"/>
    <cellStyle name="Comment" xfId="4"/>
    <cellStyle name="Input" xfId="1" builtinId="20" hidden="1"/>
    <cellStyle name="Inputs" xfId="6"/>
    <cellStyle name="markets" xfId="8"/>
    <cellStyle name="Normal" xfId="0" builtinId="0"/>
    <cellStyle name="Question" xfId="2"/>
    <cellStyle name="Results" xfId="9"/>
    <cellStyle name="Subheadings" xfId="5"/>
    <cellStyle name="Tables" xfId="10"/>
    <cellStyle name="Titles" xfId="7"/>
  </cellStyles>
  <dxfs count="1">
    <dxf>
      <font>
        <b val="0"/>
        <i/>
        <strike/>
        <color theme="3"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tabSelected="1" zoomScaleNormal="100" workbookViewId="0">
      <selection activeCell="D10" sqref="D10"/>
    </sheetView>
  </sheetViews>
  <sheetFormatPr defaultColWidth="9.109375" defaultRowHeight="14.4" x14ac:dyDescent="0.3"/>
  <cols>
    <col min="1" max="2" width="2.88671875" style="2" customWidth="1"/>
    <col min="3" max="3" width="78.88671875" style="2" customWidth="1"/>
    <col min="4" max="4" width="68.109375" style="2" customWidth="1"/>
    <col min="5" max="5" width="1.6640625" style="2" customWidth="1"/>
    <col min="6" max="6" width="26" style="2" customWidth="1"/>
    <col min="7" max="7" width="2.109375" style="2" customWidth="1"/>
    <col min="8" max="8" width="35.88671875" style="2" customWidth="1"/>
    <col min="9" max="9" width="11.33203125" style="2" customWidth="1"/>
    <col min="10" max="10" width="20.109375" style="2" customWidth="1"/>
    <col min="11" max="11" width="8.109375" style="2" customWidth="1"/>
    <col min="12" max="12" width="17.44140625" style="2" customWidth="1"/>
    <col min="13" max="13" width="15.44140625" style="2" customWidth="1"/>
    <col min="14" max="16384" width="9.109375" style="2"/>
  </cols>
  <sheetData>
    <row r="1" spans="1:13" ht="15" customHeight="1" x14ac:dyDescent="0.3">
      <c r="A1" s="1"/>
      <c r="B1" s="57" t="s">
        <v>54</v>
      </c>
      <c r="C1" s="58"/>
      <c r="D1" s="58"/>
      <c r="E1" s="58"/>
      <c r="F1" s="59"/>
      <c r="G1" s="31" t="s">
        <v>52</v>
      </c>
      <c r="H1" s="32"/>
      <c r="I1" s="32"/>
      <c r="J1" s="4"/>
      <c r="K1" s="3"/>
    </row>
    <row r="2" spans="1:13" x14ac:dyDescent="0.3">
      <c r="A2" s="1"/>
      <c r="B2" s="60"/>
      <c r="C2" s="61"/>
      <c r="D2" s="61"/>
      <c r="E2" s="61"/>
      <c r="F2" s="62"/>
      <c r="G2" s="31"/>
      <c r="I2" s="32"/>
      <c r="J2" s="3"/>
      <c r="K2" s="3"/>
      <c r="L2" s="42"/>
      <c r="M2" s="42"/>
    </row>
    <row r="3" spans="1:13" x14ac:dyDescent="0.3">
      <c r="A3" s="1"/>
      <c r="B3" s="60"/>
      <c r="C3" s="61"/>
      <c r="D3" s="61"/>
      <c r="E3" s="61"/>
      <c r="F3" s="62"/>
      <c r="G3" s="31"/>
      <c r="H3" s="32"/>
      <c r="I3" s="32"/>
      <c r="J3" s="3"/>
      <c r="K3" s="3"/>
    </row>
    <row r="4" spans="1:13" ht="15" thickBot="1" x14ac:dyDescent="0.35">
      <c r="A4" s="1"/>
      <c r="B4" s="63"/>
      <c r="C4" s="64"/>
      <c r="D4" s="64"/>
      <c r="E4" s="64"/>
      <c r="F4" s="65"/>
      <c r="G4" s="31"/>
      <c r="H4" s="32"/>
      <c r="I4" s="32"/>
      <c r="J4" s="3"/>
      <c r="K4" s="3"/>
    </row>
    <row r="5" spans="1:13" s="5" customFormat="1" ht="15.75" thickBot="1" x14ac:dyDescent="0.3">
      <c r="C5" s="6"/>
      <c r="I5" s="32"/>
    </row>
    <row r="6" spans="1:13" s="5" customFormat="1" ht="21" x14ac:dyDescent="0.35">
      <c r="B6" s="7"/>
      <c r="C6" s="8" t="s">
        <v>5</v>
      </c>
      <c r="D6" s="9"/>
      <c r="E6" s="9"/>
      <c r="F6" s="10"/>
      <c r="H6" s="11" t="s">
        <v>20</v>
      </c>
      <c r="I6" s="11"/>
      <c r="J6" s="11"/>
      <c r="K6" s="11"/>
    </row>
    <row r="7" spans="1:13" s="5" customFormat="1" ht="21" x14ac:dyDescent="0.35">
      <c r="B7" s="12"/>
      <c r="C7" s="13" t="s">
        <v>53</v>
      </c>
      <c r="D7" s="14"/>
      <c r="E7" s="14"/>
      <c r="F7" s="15"/>
      <c r="H7" s="44" t="s">
        <v>37</v>
      </c>
      <c r="I7" s="44"/>
      <c r="J7" s="44"/>
      <c r="K7" s="48">
        <f>((1+quotedyield/yieldfrequency)^(yieldfrequency/couponfrequency)-1)*couponfrequency</f>
        <v>8.0000000000000071E-2</v>
      </c>
    </row>
    <row r="8" spans="1:13" ht="21" x14ac:dyDescent="0.35">
      <c r="B8" s="12"/>
      <c r="C8" s="13" t="s">
        <v>55</v>
      </c>
      <c r="D8" s="14"/>
      <c r="E8" s="14"/>
      <c r="F8" s="15"/>
      <c r="H8" s="16" t="s">
        <v>11</v>
      </c>
      <c r="I8" s="16"/>
      <c r="J8" s="17">
        <f>IF(AND(accruedmethod&lt;&gt;sifma,DAY(maturity)&lt;&gt;31,DAY(maturity+1)=1,monthend&lt;&gt;"MONTH-END",OR(DAY(maturity)=28,MONTH(COUPPCD(settlement,maturity,couponfrequency,1))&lt;&gt;2)),COUPPCD(settlement,maturity,couponfrequency,1)-DAY(COUPPCD(settlement,maturity,couponfrequency,1))+DAY(maturity),COUPPCD(settlement,maturity,couponfrequency,1))</f>
        <v>41090</v>
      </c>
      <c r="K8" s="11"/>
    </row>
    <row r="9" spans="1:13" ht="18.75" x14ac:dyDescent="0.3">
      <c r="B9" s="12"/>
      <c r="C9" s="14"/>
      <c r="D9" s="18" t="s">
        <v>0</v>
      </c>
      <c r="E9" s="14"/>
      <c r="F9" s="15"/>
      <c r="H9" s="16" t="s">
        <v>14</v>
      </c>
      <c r="I9" s="16"/>
      <c r="J9" s="17">
        <f>IF(AND(accruedmethod&lt;&gt;sifma,DAY(maturity)&lt;&gt;31,DAY(maturity+1)=1,monthend&lt;&gt;"MONTH-END",OR(DAY(maturity)=28,MONTH(COUPNCD(settlement,maturity,couponfrequency,1))&lt;&gt;2)),COUPNCD(settlement,maturity,couponfrequency,1)-DAY(COUPNCD(settlement,maturity,couponfrequency,1))+DAY(maturity),COUPNCD(settlement,maturity,couponfrequency,1))</f>
        <v>41274</v>
      </c>
      <c r="K9" s="11"/>
    </row>
    <row r="10" spans="1:13" ht="15" x14ac:dyDescent="0.25">
      <c r="B10" s="12"/>
      <c r="C10" s="19" t="s">
        <v>4</v>
      </c>
      <c r="D10" s="34">
        <v>0.1</v>
      </c>
      <c r="E10" s="14"/>
      <c r="F10" s="20" t="s">
        <v>10</v>
      </c>
      <c r="H10" s="11" t="s">
        <v>17</v>
      </c>
      <c r="I10" s="11"/>
      <c r="J10" s="11">
        <f>VLOOKUP(pricemethod,methodtable,2,FALSE)</f>
        <v>44</v>
      </c>
      <c r="K10" s="11"/>
    </row>
    <row r="11" spans="1:13" ht="15" x14ac:dyDescent="0.25">
      <c r="B11" s="12"/>
      <c r="C11" s="19" t="s">
        <v>36</v>
      </c>
      <c r="D11" s="35">
        <v>2</v>
      </c>
      <c r="E11" s="14"/>
      <c r="F11" s="20"/>
      <c r="H11" s="11" t="s">
        <v>18</v>
      </c>
      <c r="I11" s="11"/>
      <c r="J11" s="11">
        <f>VLOOKUP(pricemethod,methodtable,4,FALSE)</f>
        <v>368</v>
      </c>
      <c r="K11" s="11"/>
    </row>
    <row r="12" spans="1:13" ht="15" x14ac:dyDescent="0.25">
      <c r="B12" s="12"/>
      <c r="C12" s="19" t="s">
        <v>56</v>
      </c>
      <c r="D12" s="36">
        <v>41455</v>
      </c>
      <c r="E12" s="14"/>
      <c r="F12" s="20" t="s">
        <v>21</v>
      </c>
      <c r="H12" s="11" t="s">
        <v>16</v>
      </c>
      <c r="I12" s="11"/>
      <c r="J12" s="11">
        <f>VLOOKUP(accruedmethod,methodtable,3,FALSE)</f>
        <v>140</v>
      </c>
      <c r="K12" s="11"/>
    </row>
    <row r="13" spans="1:13" ht="15" x14ac:dyDescent="0.25">
      <c r="B13" s="12"/>
      <c r="C13" s="19" t="s">
        <v>1</v>
      </c>
      <c r="D13" s="36">
        <v>41230</v>
      </c>
      <c r="E13" s="14"/>
      <c r="F13" s="20" t="s">
        <v>21</v>
      </c>
      <c r="H13" s="11" t="s">
        <v>40</v>
      </c>
      <c r="I13" s="11"/>
      <c r="J13" s="11">
        <f>VLOOKUP(accruedmethod,methodtable,2,FALSE)</f>
        <v>44</v>
      </c>
      <c r="K13" s="11"/>
    </row>
    <row r="14" spans="1:13" ht="15" x14ac:dyDescent="0.25">
      <c r="B14" s="12"/>
      <c r="C14" s="19" t="s">
        <v>3</v>
      </c>
      <c r="D14" s="34">
        <v>0.08</v>
      </c>
      <c r="E14" s="14"/>
      <c r="F14" s="20" t="s">
        <v>10</v>
      </c>
      <c r="H14" s="11" t="s">
        <v>15</v>
      </c>
      <c r="I14" s="11"/>
      <c r="J14" s="11">
        <f>VLOOKUP(accruedmethod,methodtable,4,FALSE)</f>
        <v>368</v>
      </c>
      <c r="K14" s="11"/>
    </row>
    <row r="15" spans="1:13" ht="15" x14ac:dyDescent="0.25">
      <c r="B15" s="12"/>
      <c r="C15" s="19" t="s">
        <v>46</v>
      </c>
      <c r="D15" s="35">
        <v>2</v>
      </c>
      <c r="E15" s="14"/>
      <c r="F15" s="20"/>
      <c r="H15" s="11" t="s">
        <v>19</v>
      </c>
      <c r="I15" s="11"/>
      <c r="J15" s="51">
        <f>(YEAR(maturity)-YEAR(nextcoupon))*couponfrequency+(MONTH(maturity)-MONTH(nextcoupon))*couponfrequency/12</f>
        <v>1</v>
      </c>
      <c r="K15" s="11"/>
    </row>
    <row r="16" spans="1:13" ht="15" x14ac:dyDescent="0.25">
      <c r="B16" s="12"/>
      <c r="C16" s="19" t="str">
        <f>IF(AND(DAY(maturity)&lt;&gt;31,DAY(maturity+1)=1),"Are coupon payments always at month-end, or on the same date in each coupon month?","")</f>
        <v>Are coupon payments always at month-end, or on the same date in each coupon month?</v>
      </c>
      <c r="D16" s="50" t="s">
        <v>45</v>
      </c>
      <c r="E16" s="14"/>
      <c r="F16" s="20" t="str">
        <f>IF(AND(DAY(maturity)&lt;&gt;31,DAY(maturity+1)=1),"click the arrow and choose","")</f>
        <v>click the arrow and choose</v>
      </c>
      <c r="H16" s="16"/>
      <c r="I16" s="21" t="s">
        <v>13</v>
      </c>
      <c r="J16" s="21" t="s">
        <v>12</v>
      </c>
      <c r="K16" s="41" t="s">
        <v>25</v>
      </c>
    </row>
    <row r="17" spans="2:11" x14ac:dyDescent="0.3">
      <c r="B17" s="12"/>
      <c r="C17" s="19" t="s">
        <v>6</v>
      </c>
      <c r="D17" s="46" t="s">
        <v>51</v>
      </c>
      <c r="E17" s="45" t="str">
        <f>""</f>
        <v/>
      </c>
      <c r="F17" s="20" t="s">
        <v>35</v>
      </c>
      <c r="H17" s="11" t="s">
        <v>34</v>
      </c>
      <c r="I17" s="40">
        <f>DAYS360(settlement,nextcoupon,TRUE)+IF(OR(AND(MOD(YEAR(settlement),4)&lt;&gt;0,DAY(settlement)=28),AND(MOD(YEAR(settlement),4)=0,DAY(settlement)=29)),DAY(settlement)-30,0)+IF(AND(nextcoupon&lt;maturity,OR(AND(MOD(YEAR(nextcoupon),4)&lt;&gt;0,DAY(nextcoupon)=28),AND(MOD(YEAR(nextcoupon),4)=0,DAY(nextcoupon)=29))),30-DAY(nextcoupon),0)</f>
        <v>43</v>
      </c>
      <c r="J17" s="40">
        <f>DAYS360(lastcoupon,settlement,TRUE)+IF(OR(AND(MOD(YEAR(lastcoupon),4)&lt;&gt;0,DAY(lastcoupon)=28),AND(MOD(YEAR(lastcoupon),4)=0,DAY(lastcoupon)=29)),DAY(lastcoupon)-30,0)+IF(AND(settlement&lt;maturity,OR(AND(MOD(YEAR(settlement),4)&lt;&gt;0,DAY(settlement)=28),AND(MOD(YEAR(settlement),4)=0,DAY(settlement)=29))),30-DAY(settlement),0)</f>
        <v>137</v>
      </c>
      <c r="K17" s="40">
        <v>360</v>
      </c>
    </row>
    <row r="18" spans="2:11" x14ac:dyDescent="0.3">
      <c r="B18" s="12"/>
      <c r="C18" s="19" t="s">
        <v>7</v>
      </c>
      <c r="D18" s="46" t="s">
        <v>51</v>
      </c>
      <c r="E18" s="45" t="str">
        <f>""</f>
        <v/>
      </c>
      <c r="F18" s="20" t="s">
        <v>35</v>
      </c>
      <c r="H18" s="44" t="s">
        <v>30</v>
      </c>
      <c r="I18" s="43">
        <f>DAYS360(settlement,nextcoupon,TRUE)</f>
        <v>43</v>
      </c>
      <c r="J18" s="43">
        <f>DAYS360(lastcoupon,settlement,TRUE)</f>
        <v>137</v>
      </c>
      <c r="K18" s="43">
        <v>360</v>
      </c>
    </row>
    <row r="19" spans="2:11" x14ac:dyDescent="0.3">
      <c r="B19" s="12"/>
      <c r="C19" s="19" t="s">
        <v>38</v>
      </c>
      <c r="D19" s="49" t="s">
        <v>39</v>
      </c>
      <c r="E19" s="14"/>
      <c r="F19" s="20" t="s">
        <v>35</v>
      </c>
      <c r="H19" s="39" t="s">
        <v>27</v>
      </c>
      <c r="I19" s="43">
        <f>DAYS360(settlement,nextcoupon,TRUE)+IF(OR(AND(MOD(YEAR(settlement),4)&lt;&gt;0,DAY(settlement)=28),AND(MOD(YEAR(settlement),4)=0,DAY(settlement)=29)),DAY(settlement)-30,0)+IF(OR(AND(MOD(YEAR(nextcoupon),4)&lt;&gt;0,DAY(nextcoupon)=28),AND(MOD(YEAR(nextcoupon),4)=0,DAY(nextcoupon)=29)),30-DAY(nextcoupon),0)</f>
        <v>43</v>
      </c>
      <c r="J19" s="43">
        <f>DAYS360(lastcoupon,settlement,TRUE)+IF(OR(AND(MOD(YEAR(lastcoupon),4)&lt;&gt;0,DAY(lastcoupon)=28),AND(MOD(YEAR(lastcoupon),4)=0,DAY(lastcoupon)=29)),DAY(lastcoupon)-30,0)+IF(OR(AND(MOD(YEAR(settlement),4)&lt;&gt;0,DAY(settlement)=28),AND(MOD(YEAR(settlement),4)=0,DAY(settlement)=29)),30-DAY(settlement),0)</f>
        <v>137</v>
      </c>
      <c r="K19" s="40">
        <v>360</v>
      </c>
    </row>
    <row r="20" spans="2:11" x14ac:dyDescent="0.3">
      <c r="B20" s="12"/>
      <c r="C20" s="19" t="s">
        <v>42</v>
      </c>
      <c r="D20" s="33">
        <v>25000000</v>
      </c>
      <c r="E20" s="14"/>
      <c r="F20" s="38" t="s">
        <v>23</v>
      </c>
      <c r="H20" s="11" t="s">
        <v>31</v>
      </c>
      <c r="I20" s="43">
        <f>DAYS360(settlement,nextcoupon,TRUE)+IF(AND(DAY(nextcoupon)=31,DAY(settlement)&lt;30),1,0)</f>
        <v>44</v>
      </c>
      <c r="J20" s="43">
        <f>DAYS360(lastcoupon,settlement,TRUE)+IF(AND(DAY(settlement)=31,DAY(lastcoupon)&lt;30),1,0)</f>
        <v>137</v>
      </c>
      <c r="K20" s="43">
        <v>360</v>
      </c>
    </row>
    <row r="21" spans="2:11" x14ac:dyDescent="0.3">
      <c r="B21" s="12"/>
      <c r="C21" s="52" t="str">
        <f>IF(pricemethod=accruedmethod,"","Are you sure?  For almost all bonds, the day/year method should be the same for both accrued coupon and price NPV calculation.")</f>
        <v/>
      </c>
      <c r="D21" s="14"/>
      <c r="E21" s="14"/>
      <c r="F21" s="15"/>
      <c r="H21" s="11" t="s">
        <v>32</v>
      </c>
      <c r="I21" s="40">
        <f>DAYS360(settlement,nextcoupon,TRUE)+IF(AND(DAY(nextcoupon)=31,DAY(settlement)&lt;30),1,0)+IF(OR(AND(MOD(YEAR(settlement),4)&lt;&gt;0,DAY(settlement)=28),AND(MOD(YEAR(settlement),4)=0,DAY(settlement)=29)),DAY(settlement)-30,0)+IF(AND(OR(AND(MOD(YEAR(nextcoupon),4)&lt;&gt;0,DAY(nextcoupon)=28),AND(MOD(YEAR(nextcoupon),4)=0,DAY(nextcoupon)=29)),OR(AND(MOD(YEAR(settlement),4)&lt;&gt;0,DAY(settlement)=28),AND(MOD(YEAR(settlement),4)=0,DAY(settlement)=29))),30-DAY(nextcoupon),0)</f>
        <v>44</v>
      </c>
      <c r="J21" s="40">
        <f>DAYS360(lastcoupon,settlement,TRUE)+IF(AND(DAY(settlement)=31,DAY(lastcoupon)&lt;30),1,0)+IF(OR(AND(MOD(YEAR(lastcoupon),4)&lt;&gt;0,DAY(lastcoupon)=28),AND(MOD(YEAR(lastcoupon),4)=0,DAY(lastcoupon)=29)),DAY(lastcoupon)-30,0)+IF(AND(OR(AND(MOD(YEAR(settlement),4)&lt;&gt;0,DAY(settlement)=28),AND(MOD(YEAR(settlement),4)=0,DAY(settlement)=29)),OR(AND(MOD(YEAR(lastcoupon),4)&lt;&gt;0,DAY(lastcoupon)=28),AND(MOD(YEAR(lastcoupon),4)=0,DAY(lastcoupon)=29))),30-DAY(settlement),0)</f>
        <v>137</v>
      </c>
      <c r="K21" s="40">
        <v>360</v>
      </c>
    </row>
    <row r="22" spans="2:11" x14ac:dyDescent="0.3">
      <c r="B22" s="12"/>
      <c r="C22" s="47" t="str">
        <f>IF(AND(accruedmethod=sifma,monthend="SAME DATE"),"The spreadsheet assumes all coupon dates to be at month-end, because of the day/year method for accrued coupon you have chosen.","")</f>
        <v/>
      </c>
      <c r="D22" s="14"/>
      <c r="E22" s="14"/>
      <c r="F22" s="15"/>
      <c r="H22" s="16" t="s">
        <v>33</v>
      </c>
      <c r="I22" s="43">
        <f>nextcoupon-settlement</f>
        <v>44</v>
      </c>
      <c r="J22" s="43">
        <f>settlement-lastcoupon</f>
        <v>140</v>
      </c>
      <c r="K22" s="43">
        <f>(nextcoupon-lastcoupon)*couponfrequency</f>
        <v>368</v>
      </c>
    </row>
    <row r="23" spans="2:11" ht="18.600000000000001" thickBot="1" x14ac:dyDescent="0.4">
      <c r="B23" s="12"/>
      <c r="C23" s="14"/>
      <c r="D23" s="18" t="s">
        <v>2</v>
      </c>
      <c r="E23" s="14"/>
      <c r="F23" s="15"/>
      <c r="H23" s="16" t="s">
        <v>28</v>
      </c>
      <c r="I23" s="43">
        <f>nextcoupon-settlement</f>
        <v>44</v>
      </c>
      <c r="J23" s="43">
        <f>settlement-lastcoupon</f>
        <v>140</v>
      </c>
      <c r="K23" s="43">
        <v>365</v>
      </c>
    </row>
    <row r="24" spans="2:11" x14ac:dyDescent="0.3">
      <c r="B24" s="12"/>
      <c r="C24" s="22" t="s">
        <v>41</v>
      </c>
      <c r="D24" s="56">
        <f>dirtyprice-accrued</f>
        <v>124.98209933983291</v>
      </c>
      <c r="E24" s="14"/>
      <c r="F24" s="15"/>
      <c r="H24" s="39" t="s">
        <v>26</v>
      </c>
      <c r="I24" s="40">
        <f>nextcoupon-settlement</f>
        <v>44</v>
      </c>
      <c r="J24" s="40">
        <f>settlement-lastcoupon</f>
        <v>140</v>
      </c>
      <c r="K24" s="40">
        <f>IF(MOD(YEAR(lastcoupon),4)=0,IF(lastcoupon&lt;DATEVALUE(TEXT(29,"#")&amp;"/"&amp;TEXT(2,"#")&amp;"/"&amp;TEXT(YEAR(lastcoupon),"#")),IF(nextcoupon&gt;DATEVALUE(TEXT(29,"#")&amp;"/"&amp;TEXT(2,"#")&amp;"/"&amp;TEXT(YEAR(lastcoupon),"#")),366,365),IF(nextcoupon&gt;DATEVALUE(TEXT(29,"#")&amp;"/"&amp;TEXT(2,"#")&amp;"/"&amp;TEXT(YEAR(lastcoupon)+4,"#")),366,365)),IF(nextcoupon&gt;DATEVALUE(TEXT(29,"#")&amp;"/"&amp;TEXT(2,"#")&amp;"/"&amp;TEXT(YEAR(lastcoupon)+4-MOD(YEAR(lastcoupon),4),"#")),366,365))</f>
        <v>365</v>
      </c>
    </row>
    <row r="25" spans="2:11" x14ac:dyDescent="0.3">
      <c r="B25" s="12"/>
      <c r="C25" s="23" t="s">
        <v>43</v>
      </c>
      <c r="D25" s="24">
        <f>100*coupon*IF(D19="NO",daysaccrued,-exdivdays)/yearaccrued</f>
        <v>3.8043478260869565</v>
      </c>
      <c r="E25" s="14"/>
      <c r="F25" s="15"/>
      <c r="H25" s="16" t="s">
        <v>29</v>
      </c>
      <c r="I25" s="40">
        <f>IF(MOD(YEAR(settlement),4)=0,IF(OR(MONTH(settlement)=1,AND(MONTH(settlement)=2,DAY(settlement)&lt;29)),IF(nextcoupon&gt;DATEVALUE(TEXT(28,"#")&amp;"/"&amp;TEXT(2,"#")&amp;"/"&amp;TEXT(YEAR(settlement),"#")),nextcoupon-settlement-1,nextcoupon-settlement),IF(nextcoupon&gt;DATEVALUE(TEXT(28,"#")&amp;"/"&amp;TEXT(2,"#")&amp;"/"&amp;TEXT(YEAR(settlement)+4,"#")),nextcoupon-settlement-1,nextcoupon-settlement)),IF(nextcoupon&gt;DATEVALUE(TEXT(28,"#")&amp;"/"&amp;TEXT(2,"#")&amp;"/"&amp;TEXT(YEAR(settlement)+4-MOD(YEAR(settlement),4),"#")),nextcoupon-settlement-1,nextcoupon-settlement))</f>
        <v>44</v>
      </c>
      <c r="J25" s="40">
        <f>IF(MOD(YEAR(lastcoupon),4)=0,IF(OR(MONTH(lastcoupon)=1,AND(MONTH(lastcoupon)=2,DAY(lastcoupon)&lt;29)),IF(settlement&gt;DATEVALUE(TEXT(28,"#")&amp;"/"&amp;TEXT(2,"#")&amp;"/"&amp;TEXT(YEAR(lastcoupon),"#")),settlement-lastcoupon-1,settlement-lastcoupon),IF(settlement&gt;DATEVALUE(TEXT(28,"#")&amp;"/"&amp;TEXT(2,"#")&amp;"/"&amp;TEXT(YEAR(lastcoupon)+4,"#")),settlement-lastcoupon-1,settlement-lastcoupon)),IF(settlement&gt;DATEVALUE(TEXT(28,"#")&amp;"/"&amp;TEXT(2,"#")&amp;"/"&amp;TEXT(YEAR(lastcoupon)+4-MOD(YEAR(lastcoupon),4),"#")),settlement-lastcoupon-1,settlement-lastcoupon))</f>
        <v>140</v>
      </c>
      <c r="K25" s="43">
        <v>365</v>
      </c>
    </row>
    <row r="26" spans="2:11" x14ac:dyDescent="0.3">
      <c r="B26" s="12"/>
      <c r="C26" s="23" t="s">
        <v>44</v>
      </c>
      <c r="D26" s="24">
        <f>100*(coupon/couponfrequency/(1-1/(1+yield/couponfrequency))-IF(D19="YES",coupon/couponfrequency,0))/(1+yield/couponfrequency)^(daysprice*couponfrequency/yearprice)</f>
        <v>128.78644716591987</v>
      </c>
      <c r="E26" s="14"/>
      <c r="F26" s="15"/>
      <c r="H26" s="11" t="s">
        <v>24</v>
      </c>
      <c r="I26" s="40">
        <f>nextcoupon-settlement</f>
        <v>44</v>
      </c>
      <c r="J26" s="40">
        <f>settlement-lastcoupon</f>
        <v>140</v>
      </c>
      <c r="K26" s="40">
        <f>IF(MOD(YEAR(nextcoupon),4)=0,366,365)</f>
        <v>366</v>
      </c>
    </row>
    <row r="27" spans="2:11" x14ac:dyDescent="0.3">
      <c r="B27" s="12"/>
      <c r="C27" s="23" t="s">
        <v>22</v>
      </c>
      <c r="D27" s="53">
        <f>D20*dirtyprice/100</f>
        <v>32196611.791479968</v>
      </c>
      <c r="E27" s="14"/>
      <c r="F27" s="15"/>
      <c r="H27" s="16" t="s">
        <v>8</v>
      </c>
      <c r="I27" s="43">
        <f>nextcoupon-settlement</f>
        <v>44</v>
      </c>
      <c r="J27" s="43">
        <f>settlement-lastcoupon</f>
        <v>140</v>
      </c>
      <c r="K27" s="43">
        <v>360</v>
      </c>
    </row>
    <row r="28" spans="2:11" x14ac:dyDescent="0.3">
      <c r="B28" s="12"/>
      <c r="C28" s="23" t="s">
        <v>49</v>
      </c>
      <c r="D28" s="53">
        <f>100/dirtyprice/couponfrequency*(1+yield/couponfrequency)^(-daysprice*couponfrequency/yearprice)*(coupon/couponfrequency*(daysprice*couponfrequency/yearprice/(1-1/(1+yield/couponfrequency))+(1/(1+yield/couponfrequency))/(1-1/(1+yield/couponfrequency))^2-IF(exdiv="YES",daysprice*couponfrequency/yearprice,0)))</f>
        <v>12.619565217391276</v>
      </c>
      <c r="E28" s="14"/>
      <c r="F28" s="15"/>
      <c r="H28" s="16" t="s">
        <v>57</v>
      </c>
      <c r="I28" s="43">
        <f>nextcoupon-settlement</f>
        <v>44</v>
      </c>
      <c r="J28" s="43">
        <f>settlement-lastcoupon</f>
        <v>140</v>
      </c>
      <c r="K28" s="43">
        <v>364</v>
      </c>
    </row>
    <row r="29" spans="2:11" x14ac:dyDescent="0.3">
      <c r="B29" s="12"/>
      <c r="C29" s="23" t="s">
        <v>47</v>
      </c>
      <c r="D29" s="53">
        <f>D28/(1+yield/couponfrequency)</f>
        <v>12.134197324414687</v>
      </c>
      <c r="E29" s="14"/>
      <c r="F29" s="15"/>
    </row>
    <row r="30" spans="2:11" x14ac:dyDescent="0.3">
      <c r="B30" s="12"/>
      <c r="C30" s="23" t="s">
        <v>50</v>
      </c>
      <c r="D30" s="54">
        <f>D29*0.0001*dirtyprice</f>
        <v>0.15627201626215786</v>
      </c>
      <c r="E30" s="14"/>
      <c r="F30" s="15"/>
    </row>
    <row r="31" spans="2:11" ht="15" thickBot="1" x14ac:dyDescent="0.35">
      <c r="B31" s="12"/>
      <c r="C31" s="25" t="s">
        <v>48</v>
      </c>
      <c r="D31" s="26">
        <f>100/couponfrequency^2/dirtyprice*(1/(1+yield/couponfrequency))^((daysprice*couponfrequency/yearprice)+2)*(((daysprice*couponfrequency/yearprice*(daysprice*couponfrequency/yearprice+1))/(1-1/(1+yield/couponfrequency))+1/(1+yield/couponfrequency)*(2*(daysprice*couponfrequency/yearprice+1))/(1-1/(1+yield/couponfrequency))^2+2*1/(1+yield/couponfrequency)^2/(1-1/(1+yield/couponfrequency))^3-(daysprice*couponfrequency/yearprice+1)*IF(exdiv="YES",daysprice*couponfrequency/yearprice,0))*coupon/couponfrequency)</f>
        <v>303.31287803687746</v>
      </c>
      <c r="E31" s="14"/>
      <c r="F31" s="15"/>
    </row>
    <row r="32" spans="2:11" x14ac:dyDescent="0.3">
      <c r="B32" s="12"/>
      <c r="C32" s="14"/>
      <c r="D32" s="14"/>
      <c r="E32" s="14"/>
      <c r="F32" s="15"/>
      <c r="G32" s="37"/>
    </row>
    <row r="33" spans="2:7" ht="15" thickBot="1" x14ac:dyDescent="0.35">
      <c r="B33" s="27"/>
      <c r="C33" s="28" t="s">
        <v>9</v>
      </c>
      <c r="D33" s="29"/>
      <c r="E33" s="29"/>
      <c r="F33" s="30"/>
      <c r="G33" s="37"/>
    </row>
    <row r="35" spans="2:7" x14ac:dyDescent="0.3">
      <c r="C35" s="55"/>
      <c r="D35" s="55"/>
      <c r="E35" s="55"/>
      <c r="F35" s="55"/>
    </row>
    <row r="36" spans="2:7" x14ac:dyDescent="0.3">
      <c r="C36" s="55"/>
      <c r="D36" s="55"/>
      <c r="E36" s="55"/>
      <c r="F36" s="55"/>
    </row>
    <row r="37" spans="2:7" x14ac:dyDescent="0.3">
      <c r="C37" s="55"/>
      <c r="D37" s="55"/>
      <c r="E37" s="55"/>
      <c r="F37" s="55"/>
    </row>
    <row r="38" spans="2:7" x14ac:dyDescent="0.3">
      <c r="C38" s="55"/>
      <c r="D38" s="55"/>
      <c r="E38" s="55"/>
      <c r="F38" s="55"/>
    </row>
    <row r="39" spans="2:7" x14ac:dyDescent="0.3">
      <c r="C39" s="55"/>
      <c r="D39" s="55"/>
      <c r="E39" s="55"/>
      <c r="F39" s="55"/>
    </row>
    <row r="40" spans="2:7" x14ac:dyDescent="0.3">
      <c r="C40" s="55"/>
      <c r="D40" s="55"/>
      <c r="E40" s="55"/>
      <c r="F40" s="55"/>
    </row>
    <row r="41" spans="2:7" x14ac:dyDescent="0.3">
      <c r="C41" s="55"/>
      <c r="D41" s="55"/>
      <c r="E41" s="55"/>
      <c r="F41" s="55"/>
    </row>
    <row r="42" spans="2:7" x14ac:dyDescent="0.3">
      <c r="C42" s="55"/>
      <c r="D42" s="55"/>
      <c r="E42" s="55"/>
      <c r="F42" s="55"/>
    </row>
    <row r="43" spans="2:7" x14ac:dyDescent="0.3">
      <c r="C43" s="55"/>
      <c r="D43" s="55"/>
      <c r="E43" s="55"/>
      <c r="F43" s="55"/>
    </row>
  </sheetData>
  <sheetProtection sheet="1" objects="1" scenarios="1" selectLockedCells="1"/>
  <mergeCells count="1">
    <mergeCell ref="B1:F4"/>
  </mergeCells>
  <conditionalFormatting sqref="D16">
    <cfRule type="expression" dxfId="0" priority="1">
      <formula>OR(C16="")</formula>
    </cfRule>
  </conditionalFormatting>
  <dataValidations count="6">
    <dataValidation type="whole" errorStyle="warning" operator="equal" showInputMessage="1" showErrorMessage="1" errorTitle="Are you sure?" error="Except for Eurobonds with semi-annual coupons, the compounding frequency of the yield is typically the same as the frequency of coupon payments per year." sqref="D15">
      <formula1>D11</formula1>
    </dataValidation>
    <dataValidation type="list" showInputMessage="1" showErrorMessage="1" error="Please click the arrow and choose 'NO' or 'YES'." sqref="D19">
      <formula1>"NO,YES"</formula1>
    </dataValidation>
    <dataValidation type="list" showInputMessage="1" showErrorMessage="1" error="Please click the arrow and choose" sqref="D16">
      <formula1>"MONTH-END,SAME DATE"</formula1>
    </dataValidation>
    <dataValidation type="date" operator="lessThan" showInputMessage="1" showErrorMessage="1" errorTitle="Invalid date" error="The settlement date should be earlier than the next coupon date." sqref="D13">
      <formula1>D12</formula1>
    </dataValidation>
    <dataValidation type="list" showInputMessage="1" showErrorMessage="1" errorTitle="Invalid day/year method" error="Click cancel.  Then click the small  arrow on the right and choose a day/year method" sqref="D17">
      <formula1>H17:H28</formula1>
    </dataValidation>
    <dataValidation type="list" showInputMessage="1" showErrorMessage="1" errorTitle="Invalid day/year methiod" error="Click cancel.  Then click the small  arrow on the right and choose a day/year method." sqref="D18">
      <formula1>H17:H28</formula1>
    </dataValidation>
  </dataValidations>
  <hyperlinks>
    <hyperlink ref="C33" r:id="rId1" display="www.markets-international.com"/>
  </hyperlinks>
  <pageMargins left="0.7" right="0.7" top="0.75" bottom="0.75" header="0.3" footer="0.3"/>
  <pageSetup paperSize="9" scale="60"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25</vt:i4>
      </vt:variant>
    </vt:vector>
  </HeadingPairs>
  <TitlesOfParts>
    <vt:vector size="28" baseType="lpstr">
      <vt:lpstr>Sheet1</vt:lpstr>
      <vt:lpstr>Sheet2</vt:lpstr>
      <vt:lpstr>Sheet3</vt:lpstr>
      <vt:lpstr>accrued</vt:lpstr>
      <vt:lpstr>accruedmethod</vt:lpstr>
      <vt:lpstr>cleanprice</vt:lpstr>
      <vt:lpstr>coupon</vt:lpstr>
      <vt:lpstr>couponfrequency</vt:lpstr>
      <vt:lpstr>daysaccrued</vt:lpstr>
      <vt:lpstr>daysprice</vt:lpstr>
      <vt:lpstr>dirtyprice</vt:lpstr>
      <vt:lpstr>exdiv</vt:lpstr>
      <vt:lpstr>exdivdays</vt:lpstr>
      <vt:lpstr>lastcoupon</vt:lpstr>
      <vt:lpstr>maturity</vt:lpstr>
      <vt:lpstr>methodtable</vt:lpstr>
      <vt:lpstr>monthend</vt:lpstr>
      <vt:lpstr>nextcoupon</vt:lpstr>
      <vt:lpstr>periods</vt:lpstr>
      <vt:lpstr>pricemethod</vt:lpstr>
      <vt:lpstr>Sheet1!Print_Area</vt:lpstr>
      <vt:lpstr>quotedyield</vt:lpstr>
      <vt:lpstr>settlement</vt:lpstr>
      <vt:lpstr>sifma</vt:lpstr>
      <vt:lpstr>yearaccrued</vt:lpstr>
      <vt:lpstr>yearprice</vt:lpstr>
      <vt:lpstr>yield</vt:lpstr>
      <vt:lpstr>yieldfrequency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2012-01-09T15:02:54Z</cp:lastPrinted>
  <dcterms:created xsi:type="dcterms:W3CDTF">2011-01-13T14:26:35Z</dcterms:created>
  <dcterms:modified xsi:type="dcterms:W3CDTF">2018-09-13T16:52:40Z</dcterms:modified>
</cp:coreProperties>
</file>